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9440" windowHeight="6810" tabRatio="606"/>
  </bookViews>
  <sheets>
    <sheet name="форма МО" sheetId="32" r:id="rId1"/>
    <sheet name="Лист2" sheetId="36" r:id="rId2"/>
  </sheets>
  <calcPr calcId="145621"/>
</workbook>
</file>

<file path=xl/calcChain.xml><?xml version="1.0" encoding="utf-8"?>
<calcChain xmlns="http://schemas.openxmlformats.org/spreadsheetml/2006/main">
  <c r="F17" i="32" l="1"/>
  <c r="H25" i="32"/>
  <c r="J25" i="32" s="1"/>
  <c r="L25" i="32" s="1"/>
  <c r="G25" i="32"/>
  <c r="I25" i="32" s="1"/>
  <c r="K25" i="32" s="1"/>
  <c r="F22" i="32"/>
  <c r="E22" i="32"/>
  <c r="H21" i="32"/>
  <c r="H24" i="32" s="1"/>
  <c r="G21" i="32"/>
  <c r="G24" i="32" s="1"/>
  <c r="J21" i="32" l="1"/>
  <c r="H22" i="32"/>
  <c r="I21" i="32"/>
  <c r="G22" i="32"/>
  <c r="I24" i="32" l="1"/>
  <c r="I22" i="32"/>
  <c r="K21" i="32"/>
  <c r="J24" i="32"/>
  <c r="J22" i="32"/>
  <c r="L21" i="32"/>
  <c r="K24" i="32" l="1"/>
  <c r="K22" i="32"/>
  <c r="L22" i="32"/>
  <c r="L24" i="32"/>
  <c r="F27" i="32" l="1"/>
  <c r="G27" i="32" s="1"/>
  <c r="G28" i="32" s="1"/>
  <c r="E28" i="32"/>
  <c r="F33" i="32"/>
  <c r="E33" i="32"/>
  <c r="G32" i="32"/>
  <c r="G33" i="32" s="1"/>
  <c r="F37" i="32"/>
  <c r="G37" i="32" s="1"/>
  <c r="I37" i="32" s="1"/>
  <c r="K37" i="32" s="1"/>
  <c r="F38" i="32"/>
  <c r="H38" i="32" s="1"/>
  <c r="J38" i="32" s="1"/>
  <c r="L38" i="32" s="1"/>
  <c r="G46" i="32"/>
  <c r="G47" i="32"/>
  <c r="H47" i="32"/>
  <c r="G38" i="32" l="1"/>
  <c r="I38" i="32" s="1"/>
  <c r="K38" i="32" s="1"/>
  <c r="F28" i="32"/>
  <c r="H37" i="32"/>
  <c r="J37" i="32" s="1"/>
  <c r="L37" i="32" s="1"/>
  <c r="F18" i="32"/>
  <c r="F12" i="32" l="1"/>
  <c r="E36" i="32"/>
  <c r="D41" i="32"/>
  <c r="D36" i="32"/>
  <c r="D24" i="32"/>
  <c r="J27" i="32" l="1"/>
  <c r="J28" i="32" s="1"/>
  <c r="H27" i="32"/>
  <c r="H28" i="32" s="1"/>
  <c r="I27" i="32" l="1"/>
  <c r="I28" i="32" s="1"/>
  <c r="L27" i="32"/>
  <c r="L28" i="32" s="1"/>
  <c r="K27" i="32" l="1"/>
  <c r="K28" i="32" s="1"/>
  <c r="G34" i="32" l="1"/>
  <c r="I34" i="32" s="1"/>
  <c r="H34" i="32"/>
  <c r="J34" i="32" s="1"/>
  <c r="L34" i="32" s="1"/>
  <c r="G12" i="32" l="1"/>
  <c r="H12" i="32"/>
  <c r="J12" i="32" s="1"/>
  <c r="L12" i="32" s="1"/>
  <c r="I12" i="32"/>
  <c r="K12" i="32" s="1"/>
  <c r="G13" i="32"/>
  <c r="H13" i="32"/>
  <c r="I13" i="32"/>
  <c r="J13" i="32"/>
  <c r="K13" i="32"/>
  <c r="L13" i="32"/>
  <c r="G14" i="32"/>
  <c r="I14" i="32" s="1"/>
  <c r="K14" i="32" s="1"/>
  <c r="H14" i="32"/>
  <c r="J14" i="32" s="1"/>
  <c r="L14" i="32" s="1"/>
  <c r="G17" i="32"/>
  <c r="I17" i="32" s="1"/>
  <c r="K17" i="32" s="1"/>
  <c r="K18" i="32" s="1"/>
  <c r="H32" i="32"/>
  <c r="H33" i="32" s="1"/>
  <c r="I32" i="32"/>
  <c r="I33" i="32" s="1"/>
  <c r="J32" i="32"/>
  <c r="J33" i="32" s="1"/>
  <c r="K32" i="32"/>
  <c r="K33" i="32" s="1"/>
  <c r="K34" i="32"/>
  <c r="G36" i="32"/>
  <c r="H36" i="32"/>
  <c r="I36" i="32"/>
  <c r="J36" i="32"/>
  <c r="K36" i="32"/>
  <c r="L36" i="32"/>
  <c r="F36" i="32"/>
  <c r="L32" i="32" l="1"/>
  <c r="L33" i="32" s="1"/>
  <c r="G18" i="32"/>
  <c r="I18" i="32"/>
  <c r="H17" i="32"/>
  <c r="J17" i="32" l="1"/>
  <c r="H18" i="32"/>
  <c r="L17" i="32" l="1"/>
  <c r="L18" i="32" s="1"/>
  <c r="J18" i="32"/>
  <c r="I47" i="32"/>
  <c r="H46" i="32" l="1"/>
  <c r="J47" i="32" l="1"/>
  <c r="I46" i="32" l="1"/>
  <c r="K47" i="32" l="1"/>
  <c r="L47" i="32"/>
  <c r="K46" i="32"/>
  <c r="J46" i="32"/>
  <c r="L46" i="32" s="1"/>
  <c r="H41" i="32" l="1"/>
  <c r="J41" i="32" s="1"/>
  <c r="L41" i="32" s="1"/>
  <c r="G41" i="32"/>
  <c r="I41" i="32" s="1"/>
  <c r="K41" i="32" s="1"/>
</calcChain>
</file>

<file path=xl/sharedStrings.xml><?xml version="1.0" encoding="utf-8"?>
<sst xmlns="http://schemas.openxmlformats.org/spreadsheetml/2006/main" count="115" uniqueCount="89">
  <si>
    <t>Показатели</t>
  </si>
  <si>
    <t>Ед.изм.</t>
  </si>
  <si>
    <t>руб.</t>
  </si>
  <si>
    <t>тыс.чел.</t>
  </si>
  <si>
    <t>Среднесписочная численность работников предприятий (по крупным и средним организациям)</t>
  </si>
  <si>
    <t>единиц</t>
  </si>
  <si>
    <t>Количество средних предприятий, всего</t>
  </si>
  <si>
    <t>Среднесписочная численность работников (без внешних совместителей) по малым предприятиям (включая микропредприятия), всего</t>
  </si>
  <si>
    <t>чел.</t>
  </si>
  <si>
    <t>Среднесписочная численность работников (без внешних совместителей) по средним предприятиям, всего</t>
  </si>
  <si>
    <t>Объем платных услуг населению</t>
  </si>
  <si>
    <t>Количество малых предприятий, в том числе микропредприятий,  всего</t>
  </si>
  <si>
    <t>базовый вариант</t>
  </si>
  <si>
    <t>№ п/п</t>
  </si>
  <si>
    <t>Численность постоянного населения (в среднегодовом исчислении)</t>
  </si>
  <si>
    <t>Численность населения (на 1 января года)</t>
  </si>
  <si>
    <t>тыс. чел.</t>
  </si>
  <si>
    <t>Население</t>
  </si>
  <si>
    <t>Промышленное производство</t>
  </si>
  <si>
    <t>1.1</t>
  </si>
  <si>
    <t>1.2</t>
  </si>
  <si>
    <t>млн.руб.</t>
  </si>
  <si>
    <t>Индекс промышленного производства</t>
  </si>
  <si>
    <t>Сельское хозяйство</t>
  </si>
  <si>
    <t>3.1</t>
  </si>
  <si>
    <t>Продукция сельского хозяйства</t>
  </si>
  <si>
    <t>3.2</t>
  </si>
  <si>
    <t>Торговля и услуги населению</t>
  </si>
  <si>
    <t>4.1</t>
  </si>
  <si>
    <t>Объем розничного товарооборота</t>
  </si>
  <si>
    <t>4.5</t>
  </si>
  <si>
    <t>% к предыдущему году
в сопоставимых ценах</t>
  </si>
  <si>
    <t>4.6</t>
  </si>
  <si>
    <t>Инвестиции</t>
  </si>
  <si>
    <t>Инвестиции в основной капитал по организациям, не относящимся к субъектам малого предпринимательства</t>
  </si>
  <si>
    <t>Темп роста в сопоставимых ценах</t>
  </si>
  <si>
    <t>5.1</t>
  </si>
  <si>
    <t>5.2</t>
  </si>
  <si>
    <t>1.3</t>
  </si>
  <si>
    <t>Труд и занятость</t>
  </si>
  <si>
    <t>6.1</t>
  </si>
  <si>
    <t>Фонд заработной платы по организациям, не относящимся к субъектам малого предпринимательства</t>
  </si>
  <si>
    <t>6.2</t>
  </si>
  <si>
    <t>Номинальная начисленная среднемесячная заработная плата одного работника  по организациям, не относящимся к субъектам малого предпринимательства</t>
  </si>
  <si>
    <t>6.3</t>
  </si>
  <si>
    <t>Малое и среднее предпринимательство, включая микропредприятия</t>
  </si>
  <si>
    <t>2</t>
  </si>
  <si>
    <t>3</t>
  </si>
  <si>
    <t>4</t>
  </si>
  <si>
    <t>5</t>
  </si>
  <si>
    <t>6</t>
  </si>
  <si>
    <t>7</t>
  </si>
  <si>
    <t>Прибыль прибыльных организаций (по полному кругу организаций)</t>
  </si>
  <si>
    <t>консерватиный вариант</t>
  </si>
  <si>
    <t>дефлятор</t>
  </si>
  <si>
    <t>6.4</t>
  </si>
  <si>
    <t>Уровень официально зарегистрированной безработицы (на конец года)</t>
  </si>
  <si>
    <t>6.5</t>
  </si>
  <si>
    <t>Ввод в действие жилых домов</t>
  </si>
  <si>
    <t>тыс. кв. м. общей площади</t>
  </si>
  <si>
    <t>человек</t>
  </si>
  <si>
    <t>%</t>
  </si>
  <si>
    <t>1.4</t>
  </si>
  <si>
    <t>Численность населения в трудоспособном возрасте</t>
  </si>
  <si>
    <t>продукция растениеводства</t>
  </si>
  <si>
    <t>3.3</t>
  </si>
  <si>
    <t>продукция животноводства</t>
  </si>
  <si>
    <t>млн. руб</t>
  </si>
  <si>
    <t>численность зарегистрированных безработных на конец года</t>
  </si>
  <si>
    <t>"Муниципальный округ Балезинский район Удмуртской Республики"</t>
  </si>
  <si>
    <t>ПРОГНОЗ</t>
  </si>
  <si>
    <t xml:space="preserve">социально-экономического развития муниципального образования </t>
  </si>
  <si>
    <t>прогноз</t>
  </si>
  <si>
    <t>7.1</t>
  </si>
  <si>
    <t>7.2</t>
  </si>
  <si>
    <t>7.3</t>
  </si>
  <si>
    <t>7.4</t>
  </si>
  <si>
    <t>7.5</t>
  </si>
  <si>
    <t>Количество индивидуальных предпринимателей</t>
  </si>
  <si>
    <t>уточнила на 01.11</t>
  </si>
  <si>
    <t>2025 год</t>
  </si>
  <si>
    <t xml:space="preserve">Объем отгруженных товаров собственного производства, выполненных работ и услуг собственными силами по крупным и средним организациям </t>
  </si>
  <si>
    <t>2022 год  факт</t>
  </si>
  <si>
    <t>2026 год</t>
  </si>
  <si>
    <t>2024 год  оценка</t>
  </si>
  <si>
    <t>2027 год</t>
  </si>
  <si>
    <t>2023 год  факт</t>
  </si>
  <si>
    <t>Численность населения моложе трудоспособного возраста</t>
  </si>
  <si>
    <t>на 2025 год и плановый период 2026-2027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</si>
</sst>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indexed="8"/>
      <name val="Arial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1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color theme="0" tint="-0.249977111117893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3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0" fillId="4" borderId="0" xfId="0" applyFill="1"/>
    <xf numFmtId="0" fontId="6" fillId="0" borderId="0" xfId="0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justify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165" fontId="11" fillId="4" borderId="1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workbookViewId="0">
      <selection sqref="A1:L47"/>
    </sheetView>
  </sheetViews>
  <sheetFormatPr defaultRowHeight="14.25" x14ac:dyDescent="0.2"/>
  <cols>
    <col min="1" max="1" width="5.75" style="2" customWidth="1"/>
    <col min="2" max="2" width="41.25" style="1" customWidth="1"/>
    <col min="3" max="3" width="18.25" style="3" customWidth="1"/>
    <col min="4" max="4" width="9" customWidth="1"/>
    <col min="5" max="5" width="8.25" customWidth="1"/>
    <col min="6" max="6" width="8.125" customWidth="1"/>
    <col min="7" max="7" width="8.375" customWidth="1"/>
    <col min="8" max="9" width="8.25" customWidth="1"/>
    <col min="10" max="10" width="7.625" customWidth="1"/>
    <col min="11" max="11" width="8.875" customWidth="1"/>
    <col min="12" max="12" width="7.625" customWidth="1"/>
    <col min="13" max="13" width="0" hidden="1" customWidth="1"/>
  </cols>
  <sheetData>
    <row r="1" spans="1:12" ht="15.75" customHeight="1" x14ac:dyDescent="0.2">
      <c r="I1" s="56"/>
      <c r="J1" s="56"/>
      <c r="K1" s="56"/>
      <c r="L1" s="56"/>
    </row>
    <row r="2" spans="1:12" ht="15" x14ac:dyDescent="0.2">
      <c r="B2" s="57" t="s">
        <v>70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.75" x14ac:dyDescent="0.2">
      <c r="A3" s="59" t="s">
        <v>71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8" customHeight="1" x14ac:dyDescent="0.2">
      <c r="A4" s="11"/>
      <c r="B4" s="59" t="s">
        <v>69</v>
      </c>
      <c r="C4" s="59"/>
      <c r="D4" s="59"/>
      <c r="E4" s="59"/>
      <c r="F4" s="59"/>
      <c r="G4" s="59"/>
      <c r="H4" s="59"/>
      <c r="I4" s="59"/>
      <c r="J4" s="59"/>
      <c r="K4" s="59"/>
      <c r="L4" s="11"/>
    </row>
    <row r="5" spans="1:12" ht="16.5" customHeight="1" x14ac:dyDescent="0.2">
      <c r="A5" s="9"/>
      <c r="B5" s="59" t="s">
        <v>88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2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.75" customHeight="1" x14ac:dyDescent="0.25">
      <c r="A8" s="60" t="s">
        <v>13</v>
      </c>
      <c r="B8" s="63" t="s">
        <v>0</v>
      </c>
      <c r="C8" s="66" t="s">
        <v>1</v>
      </c>
      <c r="D8" s="69" t="s">
        <v>82</v>
      </c>
      <c r="E8" s="69" t="s">
        <v>86</v>
      </c>
      <c r="F8" s="69" t="s">
        <v>84</v>
      </c>
      <c r="G8" s="72" t="s">
        <v>72</v>
      </c>
      <c r="H8" s="73"/>
      <c r="I8" s="73"/>
      <c r="J8" s="73"/>
      <c r="K8" s="73"/>
      <c r="L8" s="74"/>
    </row>
    <row r="9" spans="1:12" ht="15" customHeight="1" x14ac:dyDescent="0.2">
      <c r="A9" s="61"/>
      <c r="B9" s="64"/>
      <c r="C9" s="67"/>
      <c r="D9" s="70"/>
      <c r="E9" s="70"/>
      <c r="F9" s="70"/>
      <c r="G9" s="75" t="s">
        <v>80</v>
      </c>
      <c r="H9" s="75"/>
      <c r="I9" s="76" t="s">
        <v>83</v>
      </c>
      <c r="J9" s="76"/>
      <c r="K9" s="75" t="s">
        <v>85</v>
      </c>
      <c r="L9" s="75"/>
    </row>
    <row r="10" spans="1:12" ht="38.25" x14ac:dyDescent="0.2">
      <c r="A10" s="62"/>
      <c r="B10" s="65"/>
      <c r="C10" s="68"/>
      <c r="D10" s="71"/>
      <c r="E10" s="71"/>
      <c r="F10" s="71"/>
      <c r="G10" s="35" t="s">
        <v>12</v>
      </c>
      <c r="H10" s="36" t="s">
        <v>53</v>
      </c>
      <c r="I10" s="35" t="s">
        <v>12</v>
      </c>
      <c r="J10" s="36" t="s">
        <v>53</v>
      </c>
      <c r="K10" s="35" t="s">
        <v>12</v>
      </c>
      <c r="L10" s="36" t="s">
        <v>53</v>
      </c>
    </row>
    <row r="11" spans="1:12" x14ac:dyDescent="0.2">
      <c r="A11" s="19">
        <v>1</v>
      </c>
      <c r="B11" s="21" t="s">
        <v>17</v>
      </c>
      <c r="C11" s="20"/>
      <c r="D11" s="34"/>
      <c r="E11" s="34"/>
      <c r="F11" s="34"/>
      <c r="G11" s="35"/>
      <c r="H11" s="36"/>
      <c r="I11" s="35"/>
      <c r="J11" s="36"/>
      <c r="K11" s="35"/>
      <c r="L11" s="36"/>
    </row>
    <row r="12" spans="1:12" ht="25.5" x14ac:dyDescent="0.2">
      <c r="A12" s="22" t="s">
        <v>19</v>
      </c>
      <c r="B12" s="13" t="s">
        <v>14</v>
      </c>
      <c r="C12" s="15" t="s">
        <v>3</v>
      </c>
      <c r="D12" s="37">
        <v>28.981000000000002</v>
      </c>
      <c r="E12" s="37">
        <v>27.445</v>
      </c>
      <c r="F12" s="37">
        <f>(F13+E13)/2</f>
        <v>27.063499999999998</v>
      </c>
      <c r="G12" s="37">
        <f>F12*0.985</f>
        <v>26.657547499999996</v>
      </c>
      <c r="H12" s="37">
        <f>F12*0.981</f>
        <v>26.549293499999997</v>
      </c>
      <c r="I12" s="37">
        <f>G12*0.985</f>
        <v>26.257684287499995</v>
      </c>
      <c r="J12" s="37">
        <f t="shared" ref="J12:K14" si="0">H12*0.98</f>
        <v>26.018307629999995</v>
      </c>
      <c r="K12" s="37">
        <f t="shared" si="0"/>
        <v>25.732530601749993</v>
      </c>
      <c r="L12" s="37">
        <f>J12*0.97</f>
        <v>25.237758401099995</v>
      </c>
    </row>
    <row r="13" spans="1:12" x14ac:dyDescent="0.2">
      <c r="A13" s="22" t="s">
        <v>20</v>
      </c>
      <c r="B13" s="13" t="s">
        <v>15</v>
      </c>
      <c r="C13" s="15" t="s">
        <v>16</v>
      </c>
      <c r="D13" s="37">
        <v>28.699000000000002</v>
      </c>
      <c r="E13" s="37">
        <v>27.260999999999999</v>
      </c>
      <c r="F13" s="37">
        <v>26.866</v>
      </c>
      <c r="G13" s="37">
        <f>F13*0.985</f>
        <v>26.463010000000001</v>
      </c>
      <c r="H13" s="37">
        <f>F13*0.981</f>
        <v>26.355546</v>
      </c>
      <c r="I13" s="37">
        <f>G13*0.985</f>
        <v>26.06606485</v>
      </c>
      <c r="J13" s="37">
        <f t="shared" si="0"/>
        <v>25.828435079999998</v>
      </c>
      <c r="K13" s="37">
        <f t="shared" si="0"/>
        <v>25.544743553</v>
      </c>
      <c r="L13" s="37">
        <f>J13*0.97</f>
        <v>25.053582027599997</v>
      </c>
    </row>
    <row r="14" spans="1:12" ht="25.5" x14ac:dyDescent="0.2">
      <c r="A14" s="22" t="s">
        <v>38</v>
      </c>
      <c r="B14" s="13" t="s">
        <v>87</v>
      </c>
      <c r="C14" s="15" t="s">
        <v>16</v>
      </c>
      <c r="D14" s="37">
        <v>6.2960000000000003</v>
      </c>
      <c r="E14" s="37">
        <v>6.19</v>
      </c>
      <c r="F14" s="37">
        <v>5.91</v>
      </c>
      <c r="G14" s="37">
        <f>F14*0.985</f>
        <v>5.8213499999999998</v>
      </c>
      <c r="H14" s="37">
        <f>F14*0.981</f>
        <v>5.7977100000000004</v>
      </c>
      <c r="I14" s="37">
        <f>G14*0.985</f>
        <v>5.7340297499999995</v>
      </c>
      <c r="J14" s="37">
        <f t="shared" si="0"/>
        <v>5.6817558000000004</v>
      </c>
      <c r="K14" s="37">
        <f t="shared" si="0"/>
        <v>5.6193491549999992</v>
      </c>
      <c r="L14" s="37">
        <f>J14*0.97</f>
        <v>5.5113031260000005</v>
      </c>
    </row>
    <row r="15" spans="1:12" x14ac:dyDescent="0.2">
      <c r="A15" s="22" t="s">
        <v>62</v>
      </c>
      <c r="B15" s="13" t="s">
        <v>63</v>
      </c>
      <c r="C15" s="15" t="s">
        <v>16</v>
      </c>
      <c r="D15" s="38">
        <v>13.9</v>
      </c>
      <c r="E15" s="38">
        <v>13.5</v>
      </c>
      <c r="F15" s="38">
        <v>13.2</v>
      </c>
      <c r="G15" s="38">
        <v>12.9</v>
      </c>
      <c r="H15" s="38">
        <v>12.9</v>
      </c>
      <c r="I15" s="38">
        <v>12.7</v>
      </c>
      <c r="J15" s="38">
        <v>12.7</v>
      </c>
      <c r="K15" s="38">
        <v>12.5</v>
      </c>
      <c r="L15" s="38">
        <v>12.5</v>
      </c>
    </row>
    <row r="16" spans="1:12" x14ac:dyDescent="0.2">
      <c r="A16" s="24" t="s">
        <v>46</v>
      </c>
      <c r="B16" s="21" t="s">
        <v>18</v>
      </c>
      <c r="C16" s="15"/>
      <c r="D16" s="37"/>
      <c r="E16" s="51"/>
      <c r="F16" s="37"/>
      <c r="G16" s="37"/>
      <c r="H16" s="37"/>
      <c r="I16" s="37"/>
      <c r="J16" s="37"/>
      <c r="K16" s="37"/>
      <c r="L16" s="37"/>
    </row>
    <row r="17" spans="1:12" ht="45" customHeight="1" x14ac:dyDescent="0.2">
      <c r="A17" s="22"/>
      <c r="B17" s="13" t="s">
        <v>81</v>
      </c>
      <c r="C17" s="12" t="s">
        <v>21</v>
      </c>
      <c r="D17" s="39">
        <v>8323</v>
      </c>
      <c r="E17" s="39">
        <v>9170.6</v>
      </c>
      <c r="F17" s="39">
        <f>E17*F19*1.05/100</f>
        <v>10726.850820000001</v>
      </c>
      <c r="G17" s="39">
        <f>F17*G19*1.05/100</f>
        <v>11950.248156021</v>
      </c>
      <c r="H17" s="39">
        <f>F17*H19*1/100</f>
        <v>11145.198001980001</v>
      </c>
      <c r="I17" s="39">
        <f>G17*I19*1.05/100</f>
        <v>12961.836662428179</v>
      </c>
      <c r="J17" s="39">
        <f>H17*J19*1/100</f>
        <v>11446.11834803346</v>
      </c>
      <c r="K17" s="39">
        <f>I17*K19*1.1/100</f>
        <v>14728.53499951714</v>
      </c>
      <c r="L17" s="39">
        <f>J17*L19*1.05/100</f>
        <v>12523.198084583411</v>
      </c>
    </row>
    <row r="18" spans="1:12" ht="25.5" x14ac:dyDescent="0.2">
      <c r="A18" s="22"/>
      <c r="B18" s="14" t="s">
        <v>22</v>
      </c>
      <c r="C18" s="12" t="s">
        <v>31</v>
      </c>
      <c r="D18" s="17">
        <v>93.1</v>
      </c>
      <c r="E18" s="50">
        <v>104</v>
      </c>
      <c r="F18" s="50">
        <f>F17/F19/E17*10000</f>
        <v>105</v>
      </c>
      <c r="G18" s="50">
        <f>G17/G19/F17*10000</f>
        <v>104.99999999999999</v>
      </c>
      <c r="H18" s="50">
        <f>H17/H19/F17*10000</f>
        <v>99.999999999999986</v>
      </c>
      <c r="I18" s="50">
        <f>I17/I19/G17*10000</f>
        <v>105</v>
      </c>
      <c r="J18" s="50">
        <f>J17/J19/H17*10000</f>
        <v>99.999999999999986</v>
      </c>
      <c r="K18" s="50">
        <f>K17/K19/I17*10000</f>
        <v>110.00000000000001</v>
      </c>
      <c r="L18" s="50">
        <f>L17/L19/J17*10000</f>
        <v>105.00000000000003</v>
      </c>
    </row>
    <row r="19" spans="1:12" x14ac:dyDescent="0.2">
      <c r="A19" s="22"/>
      <c r="B19" s="14" t="s">
        <v>54</v>
      </c>
      <c r="C19" s="29"/>
      <c r="D19" s="17">
        <v>107.4</v>
      </c>
      <c r="E19" s="15">
        <v>105.5</v>
      </c>
      <c r="F19" s="50">
        <v>111.4</v>
      </c>
      <c r="G19" s="15">
        <v>106.1</v>
      </c>
      <c r="H19" s="15">
        <v>103.9</v>
      </c>
      <c r="I19" s="15">
        <v>103.3</v>
      </c>
      <c r="J19" s="15">
        <v>102.7</v>
      </c>
      <c r="K19" s="15">
        <v>103.3</v>
      </c>
      <c r="L19" s="15">
        <v>104.2</v>
      </c>
    </row>
    <row r="20" spans="1:12" x14ac:dyDescent="0.2">
      <c r="A20" s="24" t="s">
        <v>47</v>
      </c>
      <c r="B20" s="31" t="s">
        <v>23</v>
      </c>
      <c r="C20" s="15"/>
      <c r="D20" s="16"/>
      <c r="E20" s="50"/>
      <c r="F20" s="45"/>
      <c r="G20" s="46"/>
      <c r="H20" s="46"/>
      <c r="I20" s="46"/>
      <c r="J20" s="46"/>
      <c r="K20" s="46"/>
      <c r="L20" s="46"/>
    </row>
    <row r="21" spans="1:12" x14ac:dyDescent="0.2">
      <c r="A21" s="22" t="s">
        <v>24</v>
      </c>
      <c r="B21" s="13" t="s">
        <v>25</v>
      </c>
      <c r="C21" s="30" t="s">
        <v>21</v>
      </c>
      <c r="D21" s="39">
        <v>3278</v>
      </c>
      <c r="E21" s="39">
        <v>2826</v>
      </c>
      <c r="F21" s="39">
        <v>2890.2</v>
      </c>
      <c r="G21" s="39">
        <f>F21*G23/100*102.3%</f>
        <v>3122.248377599999</v>
      </c>
      <c r="H21" s="39">
        <f>F21*H23/100*98.5%</f>
        <v>2992.0361969999994</v>
      </c>
      <c r="I21" s="39">
        <f>G21*I23/100*101.5%</f>
        <v>3305.3526337043509</v>
      </c>
      <c r="J21" s="39">
        <f>H21*J23/100*100.8%</f>
        <v>3136.6113860390396</v>
      </c>
      <c r="K21" s="39">
        <f>I21*K23/100*101.3%</f>
        <v>3475.5584622243223</v>
      </c>
      <c r="L21" s="39">
        <f>J21*L23/100*100.7%</f>
        <v>3322.8131843598617</v>
      </c>
    </row>
    <row r="22" spans="1:12" ht="25.5" x14ac:dyDescent="0.2">
      <c r="A22" s="22"/>
      <c r="B22" s="14" t="s">
        <v>35</v>
      </c>
      <c r="C22" s="30" t="s">
        <v>31</v>
      </c>
      <c r="D22" s="16">
        <v>90.7</v>
      </c>
      <c r="E22" s="50">
        <f>E21/E23/D21*10000</f>
        <v>88.24063902959027</v>
      </c>
      <c r="F22" s="50">
        <f>F21/F23/E21*10000</f>
        <v>95.048106141327068</v>
      </c>
      <c r="G22" s="50">
        <f>G21/G23/F21*10000</f>
        <v>102.29999999999998</v>
      </c>
      <c r="H22" s="50">
        <f>H21/H23/F21*10000</f>
        <v>98.5</v>
      </c>
      <c r="I22" s="15">
        <f>I21/I23/G21*10000</f>
        <v>101.50000000000001</v>
      </c>
      <c r="J22" s="15">
        <f>J21/J23/H21*10000</f>
        <v>100.8</v>
      </c>
      <c r="K22" s="15">
        <f>K21/K23/I21*10000</f>
        <v>101.29999999999998</v>
      </c>
      <c r="L22" s="50">
        <f>L21/L23/J21*10000</f>
        <v>100.7</v>
      </c>
    </row>
    <row r="23" spans="1:12" x14ac:dyDescent="0.2">
      <c r="A23" s="22"/>
      <c r="B23" s="14" t="s">
        <v>54</v>
      </c>
      <c r="C23" s="30"/>
      <c r="D23" s="16">
        <v>110.2</v>
      </c>
      <c r="E23" s="50">
        <v>97.7</v>
      </c>
      <c r="F23" s="55">
        <v>107.6</v>
      </c>
      <c r="G23" s="49">
        <v>105.6</v>
      </c>
      <c r="H23" s="55">
        <v>105.1</v>
      </c>
      <c r="I23" s="49">
        <v>104.3</v>
      </c>
      <c r="J23" s="49">
        <v>104</v>
      </c>
      <c r="K23" s="49">
        <v>103.8</v>
      </c>
      <c r="L23" s="49">
        <v>105.2</v>
      </c>
    </row>
    <row r="24" spans="1:12" x14ac:dyDescent="0.2">
      <c r="A24" s="22" t="s">
        <v>26</v>
      </c>
      <c r="B24" s="14" t="s">
        <v>64</v>
      </c>
      <c r="C24" s="33" t="s">
        <v>67</v>
      </c>
      <c r="D24" s="16">
        <f t="shared" ref="D24" si="1">D21-D25</f>
        <v>1398.2</v>
      </c>
      <c r="E24" s="50">
        <v>1273</v>
      </c>
      <c r="F24" s="55">
        <v>1170.5999999999999</v>
      </c>
      <c r="G24" s="55">
        <f>G21-G25</f>
        <v>1264.5851327999994</v>
      </c>
      <c r="H24" s="55">
        <f>H21-H25</f>
        <v>1211.8460909999997</v>
      </c>
      <c r="I24" s="55">
        <f t="shared" ref="I24:L24" si="2">I21-I25</f>
        <v>1338.7467279130556</v>
      </c>
      <c r="J24" s="55">
        <f t="shared" si="2"/>
        <v>1270.4024941171197</v>
      </c>
      <c r="K24" s="55">
        <f t="shared" si="2"/>
        <v>1407.6841519202103</v>
      </c>
      <c r="L24" s="55">
        <f t="shared" si="2"/>
        <v>1345.8186677778885</v>
      </c>
    </row>
    <row r="25" spans="1:12" x14ac:dyDescent="0.2">
      <c r="A25" s="22" t="s">
        <v>65</v>
      </c>
      <c r="B25" s="14" t="s">
        <v>66</v>
      </c>
      <c r="C25" s="33" t="s">
        <v>67</v>
      </c>
      <c r="D25" s="16">
        <v>1879.8</v>
      </c>
      <c r="E25" s="50">
        <v>1553</v>
      </c>
      <c r="F25" s="55">
        <v>1719.6</v>
      </c>
      <c r="G25" s="55">
        <f>F25*G23/100*102.3%</f>
        <v>1857.6632447999996</v>
      </c>
      <c r="H25" s="55">
        <f>F25*H23/100*98.5%</f>
        <v>1780.1901059999998</v>
      </c>
      <c r="I25" s="55">
        <f>G25*I23/100*101.5%</f>
        <v>1966.6059057912953</v>
      </c>
      <c r="J25" s="55">
        <f>H25*J23/100*100.8%</f>
        <v>1866.20889192192</v>
      </c>
      <c r="K25" s="55">
        <f>I25*K23/100*101.3%</f>
        <v>2067.874310304112</v>
      </c>
      <c r="L25" s="55">
        <f>J25*L23/100*100.7%</f>
        <v>1976.9945165819731</v>
      </c>
    </row>
    <row r="26" spans="1:12" x14ac:dyDescent="0.2">
      <c r="A26" s="24" t="s">
        <v>48</v>
      </c>
      <c r="B26" s="21" t="s">
        <v>27</v>
      </c>
      <c r="C26" s="15"/>
      <c r="D26" s="16"/>
      <c r="E26" s="50"/>
      <c r="F26" s="47"/>
      <c r="G26" s="48"/>
      <c r="H26" s="47"/>
      <c r="I26" s="48"/>
      <c r="J26" s="48"/>
      <c r="K26" s="48"/>
      <c r="L26" s="48"/>
    </row>
    <row r="27" spans="1:12" x14ac:dyDescent="0.2">
      <c r="A27" s="22" t="s">
        <v>28</v>
      </c>
      <c r="B27" s="13" t="s">
        <v>29</v>
      </c>
      <c r="C27" s="12" t="s">
        <v>21</v>
      </c>
      <c r="D27" s="39">
        <v>1495.251</v>
      </c>
      <c r="E27" s="52">
        <v>1641.8</v>
      </c>
      <c r="F27" s="39">
        <f>E27*1.1</f>
        <v>1805.98</v>
      </c>
      <c r="G27" s="39">
        <f>F27*109/100</f>
        <v>1968.5182</v>
      </c>
      <c r="H27" s="39">
        <f>F27*108.5/100</f>
        <v>1959.4883000000002</v>
      </c>
      <c r="I27" s="39">
        <f>G27*105/100</f>
        <v>2066.9441099999999</v>
      </c>
      <c r="J27" s="39">
        <f>H27*104/100</f>
        <v>2037.8678320000004</v>
      </c>
      <c r="K27" s="39">
        <f>I27*105/100</f>
        <v>2170.2913155000001</v>
      </c>
      <c r="L27" s="39">
        <f>J27*104.1/100</f>
        <v>2121.4204131120005</v>
      </c>
    </row>
    <row r="28" spans="1:12" ht="25.5" x14ac:dyDescent="0.2">
      <c r="A28" s="22"/>
      <c r="B28" s="14" t="s">
        <v>35</v>
      </c>
      <c r="C28" s="12" t="s">
        <v>31</v>
      </c>
      <c r="D28" s="16">
        <v>86.9</v>
      </c>
      <c r="E28" s="50">
        <f>E27/D27/104.7*10000</f>
        <v>104.8719801172588</v>
      </c>
      <c r="F28" s="50">
        <f>F27/E27/108*10000</f>
        <v>101.85185185185186</v>
      </c>
      <c r="G28" s="50">
        <f>G27/F27/105.5*10000</f>
        <v>103.3175355450237</v>
      </c>
      <c r="H28" s="50">
        <f>H27/F27/105.3*10000</f>
        <v>103.03893637226972</v>
      </c>
      <c r="I28" s="50">
        <f>I27/G27/104.5*10000</f>
        <v>100.47846889952153</v>
      </c>
      <c r="J28" s="50">
        <f>J27/H27/104.2*10000</f>
        <v>99.808061420345496</v>
      </c>
      <c r="K28" s="50">
        <f>K27/I27/104.1*10000</f>
        <v>100.86455331412105</v>
      </c>
      <c r="L28" s="50">
        <f>L27/J27/105.4*10000</f>
        <v>98.766603415559786</v>
      </c>
    </row>
    <row r="29" spans="1:12" s="10" customFormat="1" hidden="1" x14ac:dyDescent="0.2">
      <c r="A29" s="22" t="s">
        <v>30</v>
      </c>
      <c r="B29" s="13" t="s">
        <v>10</v>
      </c>
      <c r="C29" s="12" t="s">
        <v>21</v>
      </c>
      <c r="D29" s="40"/>
      <c r="E29" s="39"/>
      <c r="F29" s="44"/>
      <c r="G29" s="44"/>
      <c r="H29" s="44"/>
      <c r="I29" s="44"/>
      <c r="J29" s="44"/>
      <c r="K29" s="44"/>
      <c r="L29" s="44"/>
    </row>
    <row r="30" spans="1:12" s="10" customFormat="1" ht="25.5" hidden="1" x14ac:dyDescent="0.2">
      <c r="A30" s="22" t="s">
        <v>32</v>
      </c>
      <c r="B30" s="14" t="s">
        <v>35</v>
      </c>
      <c r="C30" s="12" t="s">
        <v>31</v>
      </c>
      <c r="D30" s="16"/>
      <c r="E30" s="50"/>
      <c r="F30" s="46"/>
      <c r="G30" s="46"/>
      <c r="H30" s="45"/>
      <c r="I30" s="46"/>
      <c r="J30" s="46"/>
      <c r="K30" s="46"/>
      <c r="L30" s="46"/>
    </row>
    <row r="31" spans="1:12" s="10" customFormat="1" x14ac:dyDescent="0.2">
      <c r="A31" s="24" t="s">
        <v>49</v>
      </c>
      <c r="B31" s="21" t="s">
        <v>33</v>
      </c>
      <c r="C31" s="12"/>
      <c r="D31" s="16"/>
      <c r="E31" s="50"/>
      <c r="F31" s="46"/>
      <c r="G31" s="46"/>
      <c r="H31" s="45"/>
      <c r="I31" s="46"/>
      <c r="J31" s="46"/>
      <c r="K31" s="46"/>
      <c r="L31" s="46"/>
    </row>
    <row r="32" spans="1:12" ht="25.5" x14ac:dyDescent="0.2">
      <c r="A32" s="22" t="s">
        <v>36</v>
      </c>
      <c r="B32" s="13" t="s">
        <v>34</v>
      </c>
      <c r="C32" s="12" t="s">
        <v>21</v>
      </c>
      <c r="D32" s="41">
        <v>303.39999999999998</v>
      </c>
      <c r="E32" s="41">
        <v>360</v>
      </c>
      <c r="F32" s="39">
        <v>396</v>
      </c>
      <c r="G32" s="39">
        <f>F32*1.05</f>
        <v>415.8</v>
      </c>
      <c r="H32" s="39">
        <f>F32*0.98</f>
        <v>388.08</v>
      </c>
      <c r="I32" s="39">
        <f>G32*1.04</f>
        <v>432.43200000000002</v>
      </c>
      <c r="J32" s="39">
        <f>H32*103/100</f>
        <v>399.72239999999999</v>
      </c>
      <c r="K32" s="39">
        <f>I32*104.9/100</f>
        <v>453.62116800000001</v>
      </c>
      <c r="L32" s="39">
        <f>J32*104.4/100</f>
        <v>417.31018560000007</v>
      </c>
    </row>
    <row r="33" spans="1:13" ht="25.5" x14ac:dyDescent="0.2">
      <c r="A33" s="22"/>
      <c r="B33" s="14" t="s">
        <v>35</v>
      </c>
      <c r="C33" s="12" t="s">
        <v>31</v>
      </c>
      <c r="D33" s="16">
        <v>86.9</v>
      </c>
      <c r="E33" s="50">
        <f>E32/D32/109.8*10000</f>
        <v>108.06488215524602</v>
      </c>
      <c r="F33" s="50">
        <f>F32/E32/109.1*10000</f>
        <v>100.8249312557287</v>
      </c>
      <c r="G33" s="50">
        <f>G32/F32/107.8*10000</f>
        <v>97.402597402597422</v>
      </c>
      <c r="H33" s="50">
        <f>H32/F32/107*10000</f>
        <v>91.588785046728972</v>
      </c>
      <c r="I33" s="50">
        <f>I32/G32/105.3*10000</f>
        <v>98.76543209876543</v>
      </c>
      <c r="J33" s="50">
        <f>J32/H32/105.1*10000</f>
        <v>98.001902949571843</v>
      </c>
      <c r="K33" s="50">
        <f>K32/I32/104.4*10000</f>
        <v>100.47892720306511</v>
      </c>
      <c r="L33" s="50">
        <f>L32/J32/105.5*10000</f>
        <v>98.95734597156401</v>
      </c>
    </row>
    <row r="34" spans="1:13" ht="28.5" customHeight="1" x14ac:dyDescent="0.2">
      <c r="A34" s="22" t="s">
        <v>37</v>
      </c>
      <c r="B34" s="14" t="s">
        <v>58</v>
      </c>
      <c r="C34" s="32" t="s">
        <v>59</v>
      </c>
      <c r="D34" s="16">
        <v>11</v>
      </c>
      <c r="E34" s="50">
        <v>6.2</v>
      </c>
      <c r="F34" s="50">
        <v>6.3</v>
      </c>
      <c r="G34" s="50">
        <f>F34*1.05</f>
        <v>6.6150000000000002</v>
      </c>
      <c r="H34" s="50">
        <f>F34*1.02</f>
        <v>6.4260000000000002</v>
      </c>
      <c r="I34" s="50">
        <f>G34*1.03</f>
        <v>6.8134500000000005</v>
      </c>
      <c r="J34" s="50">
        <f>H34*1.03</f>
        <v>6.6187800000000001</v>
      </c>
      <c r="K34" s="50">
        <f>I34*1.03</f>
        <v>7.0178535000000011</v>
      </c>
      <c r="L34" s="50">
        <f>J34*1.03</f>
        <v>6.8173434000000004</v>
      </c>
    </row>
    <row r="35" spans="1:13" x14ac:dyDescent="0.2">
      <c r="A35" s="24" t="s">
        <v>50</v>
      </c>
      <c r="B35" s="21" t="s">
        <v>39</v>
      </c>
      <c r="C35" s="12"/>
      <c r="D35" s="16"/>
      <c r="E35" s="45"/>
      <c r="F35" s="45"/>
      <c r="G35" s="45"/>
      <c r="H35" s="45"/>
      <c r="I35" s="45"/>
      <c r="J35" s="45"/>
      <c r="K35" s="45"/>
      <c r="L35" s="45"/>
    </row>
    <row r="36" spans="1:13" ht="25.5" x14ac:dyDescent="0.2">
      <c r="A36" s="22" t="s">
        <v>40</v>
      </c>
      <c r="B36" s="18" t="s">
        <v>41</v>
      </c>
      <c r="C36" s="12" t="s">
        <v>21</v>
      </c>
      <c r="D36" s="16">
        <f>D37*D38*12/1000</f>
        <v>2612.6064612</v>
      </c>
      <c r="E36" s="50">
        <f>E37*E38*12/1000</f>
        <v>2871.8641439999997</v>
      </c>
      <c r="F36" s="50">
        <f>F37*F38*12/1000</f>
        <v>3137.5115773199991</v>
      </c>
      <c r="G36" s="50">
        <f>G37*G38*12/1000</f>
        <v>3231.0094223241349</v>
      </c>
      <c r="H36" s="50">
        <f t="shared" ref="H36:L36" si="3">H37*H38*12/1000</f>
        <v>3151.3166282602074</v>
      </c>
      <c r="I36" s="50">
        <f t="shared" si="3"/>
        <v>3315.0156673045635</v>
      </c>
      <c r="J36" s="50">
        <f t="shared" si="3"/>
        <v>3077.2606874960929</v>
      </c>
      <c r="K36" s="50">
        <f t="shared" si="3"/>
        <v>3401.2060746544812</v>
      </c>
      <c r="L36" s="50">
        <f t="shared" si="3"/>
        <v>3004.9450613399354</v>
      </c>
    </row>
    <row r="37" spans="1:13" ht="38.25" x14ac:dyDescent="0.2">
      <c r="A37" s="22" t="s">
        <v>42</v>
      </c>
      <c r="B37" s="13" t="s">
        <v>43</v>
      </c>
      <c r="C37" s="15" t="s">
        <v>2</v>
      </c>
      <c r="D37" s="16">
        <v>34718.1</v>
      </c>
      <c r="E37" s="50">
        <v>40154.699999999997</v>
      </c>
      <c r="F37" s="50">
        <f>E37*1.15</f>
        <v>46177.904999999992</v>
      </c>
      <c r="G37" s="50">
        <f>F37*1.084</f>
        <v>50056.849019999994</v>
      </c>
      <c r="H37" s="50">
        <f>F37*1.08</f>
        <v>49872.137399999992</v>
      </c>
      <c r="I37" s="50">
        <f>G37*1.08</f>
        <v>54061.396941599996</v>
      </c>
      <c r="J37" s="50">
        <f>H37*1.05</f>
        <v>52365.744269999996</v>
      </c>
      <c r="K37" s="50">
        <f>I37*1.08</f>
        <v>58386.308696927998</v>
      </c>
      <c r="L37" s="50">
        <f>J37*1.05</f>
        <v>54984.031483499995</v>
      </c>
    </row>
    <row r="38" spans="1:13" ht="25.5" x14ac:dyDescent="0.2">
      <c r="A38" s="22" t="s">
        <v>44</v>
      </c>
      <c r="B38" s="13" t="s">
        <v>4</v>
      </c>
      <c r="C38" s="15" t="s">
        <v>3</v>
      </c>
      <c r="D38" s="16">
        <v>6.2709999999999999</v>
      </c>
      <c r="E38" s="50">
        <v>5.96</v>
      </c>
      <c r="F38" s="50">
        <f>E38*0.95</f>
        <v>5.6619999999999999</v>
      </c>
      <c r="G38" s="50">
        <f>F38*0.95</f>
        <v>5.3788999999999998</v>
      </c>
      <c r="H38" s="50">
        <f>F38*0.93</f>
        <v>5.2656600000000005</v>
      </c>
      <c r="I38" s="50">
        <f>G38*0.95</f>
        <v>5.1099549999999994</v>
      </c>
      <c r="J38" s="50">
        <f>H38*0.93</f>
        <v>4.8970638000000006</v>
      </c>
      <c r="K38" s="50">
        <f>I38*0.95</f>
        <v>4.8544572499999994</v>
      </c>
      <c r="L38" s="50">
        <f>J38*0.93</f>
        <v>4.5542693340000007</v>
      </c>
    </row>
    <row r="39" spans="1:13" ht="25.5" x14ac:dyDescent="0.2">
      <c r="A39" s="22" t="s">
        <v>55</v>
      </c>
      <c r="B39" s="13" t="s">
        <v>56</v>
      </c>
      <c r="C39" s="15" t="s">
        <v>61</v>
      </c>
      <c r="D39" s="16">
        <v>0.6</v>
      </c>
      <c r="E39" s="50">
        <v>0.5</v>
      </c>
      <c r="F39" s="50">
        <v>0.4</v>
      </c>
      <c r="G39" s="50">
        <v>0.5</v>
      </c>
      <c r="H39" s="50">
        <v>0.5</v>
      </c>
      <c r="I39" s="50">
        <v>0.6</v>
      </c>
      <c r="J39" s="50">
        <v>0.6</v>
      </c>
      <c r="K39" s="50">
        <v>0.6</v>
      </c>
      <c r="L39" s="50">
        <v>0.6</v>
      </c>
    </row>
    <row r="40" spans="1:13" ht="25.5" x14ac:dyDescent="0.2">
      <c r="A40" s="22" t="s">
        <v>57</v>
      </c>
      <c r="B40" s="13" t="s">
        <v>68</v>
      </c>
      <c r="C40" s="15" t="s">
        <v>60</v>
      </c>
      <c r="D40" s="16">
        <v>84</v>
      </c>
      <c r="E40" s="50">
        <v>73</v>
      </c>
      <c r="F40" s="50">
        <v>56</v>
      </c>
      <c r="G40" s="50">
        <v>70</v>
      </c>
      <c r="H40" s="50">
        <v>70</v>
      </c>
      <c r="I40" s="50">
        <v>75</v>
      </c>
      <c r="J40" s="50">
        <v>75</v>
      </c>
      <c r="K40" s="50">
        <v>80.8</v>
      </c>
      <c r="L40" s="50">
        <v>90</v>
      </c>
    </row>
    <row r="41" spans="1:13" ht="28.5" hidden="1" x14ac:dyDescent="0.2">
      <c r="A41" s="24" t="s">
        <v>51</v>
      </c>
      <c r="B41" s="23" t="s">
        <v>52</v>
      </c>
      <c r="C41" s="12" t="s">
        <v>21</v>
      </c>
      <c r="D41" s="16" t="e">
        <f>C41*100%</f>
        <v>#VALUE!</v>
      </c>
      <c r="E41" s="50"/>
      <c r="F41" s="45"/>
      <c r="G41" s="45">
        <f>F41*1.05</f>
        <v>0</v>
      </c>
      <c r="H41" s="45">
        <f>F41*1</f>
        <v>0</v>
      </c>
      <c r="I41" s="45">
        <f>G41*1.015</f>
        <v>0</v>
      </c>
      <c r="J41" s="45">
        <f>H41*1.01</f>
        <v>0</v>
      </c>
      <c r="K41" s="45">
        <f>I41*1.05</f>
        <v>0</v>
      </c>
      <c r="L41" s="45">
        <f>J41*1.01</f>
        <v>0</v>
      </c>
    </row>
    <row r="42" spans="1:13" ht="28.5" x14ac:dyDescent="0.2">
      <c r="A42" s="25" t="s">
        <v>51</v>
      </c>
      <c r="B42" s="26" t="s">
        <v>45</v>
      </c>
      <c r="C42" s="12"/>
      <c r="D42" s="16"/>
      <c r="E42" s="50"/>
      <c r="F42" s="45"/>
      <c r="G42" s="45"/>
      <c r="H42" s="45"/>
      <c r="I42" s="45"/>
      <c r="J42" s="45"/>
      <c r="K42" s="45"/>
      <c r="L42" s="45"/>
    </row>
    <row r="43" spans="1:13" ht="27" customHeight="1" x14ac:dyDescent="0.2">
      <c r="A43" s="27" t="s">
        <v>73</v>
      </c>
      <c r="B43" s="28" t="s">
        <v>11</v>
      </c>
      <c r="C43" s="15" t="s">
        <v>5</v>
      </c>
      <c r="D43" s="42">
        <v>98</v>
      </c>
      <c r="E43" s="53">
        <v>98</v>
      </c>
      <c r="F43" s="53">
        <v>95</v>
      </c>
      <c r="G43" s="53">
        <v>98</v>
      </c>
      <c r="H43" s="53">
        <v>95</v>
      </c>
      <c r="I43" s="53">
        <v>98</v>
      </c>
      <c r="J43" s="53">
        <v>95</v>
      </c>
      <c r="K43" s="53">
        <v>98</v>
      </c>
      <c r="L43" s="53">
        <v>95</v>
      </c>
      <c r="M43" t="s">
        <v>79</v>
      </c>
    </row>
    <row r="44" spans="1:13" ht="16.5" customHeight="1" x14ac:dyDescent="0.2">
      <c r="A44" s="27" t="s">
        <v>74</v>
      </c>
      <c r="B44" s="28" t="s">
        <v>6</v>
      </c>
      <c r="C44" s="15" t="s">
        <v>5</v>
      </c>
      <c r="D44" s="43">
        <v>9</v>
      </c>
      <c r="E44" s="43">
        <v>9</v>
      </c>
      <c r="F44" s="43">
        <v>8</v>
      </c>
      <c r="G44" s="43">
        <v>8</v>
      </c>
      <c r="H44" s="43">
        <v>8</v>
      </c>
      <c r="I44" s="43">
        <v>8</v>
      </c>
      <c r="J44" s="43">
        <v>8</v>
      </c>
      <c r="K44" s="43">
        <v>8</v>
      </c>
      <c r="L44" s="43">
        <v>8</v>
      </c>
    </row>
    <row r="45" spans="1:13" ht="16.5" customHeight="1" x14ac:dyDescent="0.2">
      <c r="A45" s="27" t="s">
        <v>75</v>
      </c>
      <c r="B45" s="28" t="s">
        <v>78</v>
      </c>
      <c r="C45" s="15" t="s">
        <v>5</v>
      </c>
      <c r="D45" s="43">
        <v>326</v>
      </c>
      <c r="E45" s="43">
        <v>377</v>
      </c>
      <c r="F45" s="43">
        <v>470</v>
      </c>
      <c r="G45" s="43">
        <v>480</v>
      </c>
      <c r="H45" s="43">
        <v>475</v>
      </c>
      <c r="I45" s="43">
        <v>495</v>
      </c>
      <c r="J45" s="43">
        <v>490</v>
      </c>
      <c r="K45" s="43">
        <v>500</v>
      </c>
      <c r="L45" s="43">
        <v>495</v>
      </c>
    </row>
    <row r="46" spans="1:13" ht="38.25" x14ac:dyDescent="0.2">
      <c r="A46" s="27" t="s">
        <v>76</v>
      </c>
      <c r="B46" s="28" t="s">
        <v>7</v>
      </c>
      <c r="C46" s="15" t="s">
        <v>8</v>
      </c>
      <c r="D46" s="43">
        <v>1981</v>
      </c>
      <c r="E46" s="43">
        <v>1574</v>
      </c>
      <c r="F46" s="43">
        <v>2040</v>
      </c>
      <c r="G46" s="54">
        <f>F46*0.93</f>
        <v>1897.2</v>
      </c>
      <c r="H46" s="54">
        <f>F46*0.9</f>
        <v>1836</v>
      </c>
      <c r="I46" s="54">
        <f>G46*1.015</f>
        <v>1925.6579999999999</v>
      </c>
      <c r="J46" s="54">
        <f>H46*1.01</f>
        <v>1854.3600000000001</v>
      </c>
      <c r="K46" s="54">
        <f>I46*1.035</f>
        <v>1993.0560299999997</v>
      </c>
      <c r="L46" s="54">
        <f>J46*1.01</f>
        <v>1872.9036000000001</v>
      </c>
    </row>
    <row r="47" spans="1:13" ht="25.5" x14ac:dyDescent="0.2">
      <c r="A47" s="27" t="s">
        <v>77</v>
      </c>
      <c r="B47" s="28" t="s">
        <v>9</v>
      </c>
      <c r="C47" s="15" t="s">
        <v>8</v>
      </c>
      <c r="D47" s="43">
        <v>938</v>
      </c>
      <c r="E47" s="43">
        <v>907</v>
      </c>
      <c r="F47" s="43">
        <v>885</v>
      </c>
      <c r="G47" s="54">
        <f>F47*1.02</f>
        <v>902.7</v>
      </c>
      <c r="H47" s="54">
        <f>F47*1.015</f>
        <v>898.27499999999986</v>
      </c>
      <c r="I47" s="54">
        <f>G47*1.01</f>
        <v>911.72700000000009</v>
      </c>
      <c r="J47" s="54">
        <f>H47*1.01</f>
        <v>907.25774999999987</v>
      </c>
      <c r="K47" s="54">
        <f>I47*1.035</f>
        <v>943.63744500000007</v>
      </c>
      <c r="L47" s="54">
        <f>J47*1.01</f>
        <v>916.33032749999984</v>
      </c>
    </row>
    <row r="48" spans="1:13" ht="9.75" customHeight="1" x14ac:dyDescent="0.2">
      <c r="A48" s="4"/>
      <c r="B48" s="5"/>
      <c r="C48" s="6"/>
      <c r="D48" s="7"/>
      <c r="E48" s="7"/>
      <c r="F48" s="7"/>
      <c r="G48" s="7"/>
      <c r="H48" s="7"/>
      <c r="I48" s="7"/>
      <c r="J48" s="7"/>
      <c r="K48" s="7"/>
      <c r="L48" s="7"/>
    </row>
  </sheetData>
  <sheetProtection password="CF7A" sheet="1" objects="1" scenarios="1" selectLockedCells="1" selectUnlockedCells="1"/>
  <mergeCells count="15">
    <mergeCell ref="I1:L1"/>
    <mergeCell ref="B2:L2"/>
    <mergeCell ref="B5:L5"/>
    <mergeCell ref="A8:A10"/>
    <mergeCell ref="B8:B10"/>
    <mergeCell ref="C8:C10"/>
    <mergeCell ref="D8:D10"/>
    <mergeCell ref="E8:E10"/>
    <mergeCell ref="F8:F10"/>
    <mergeCell ref="G8:L8"/>
    <mergeCell ref="A3:L3"/>
    <mergeCell ref="B4:K4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8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МО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2024-11-13T12:25:59Z</cp:lastPrinted>
  <dcterms:created xsi:type="dcterms:W3CDTF">2013-10-22T05:18:42Z</dcterms:created>
  <dcterms:modified xsi:type="dcterms:W3CDTF">2024-11-14T11:18:20Z</dcterms:modified>
</cp:coreProperties>
</file>